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olkersrV2/Documents/FERWebSite2010/- Dare2Make/_pecourse/2A4_Springs/"/>
    </mc:Choice>
  </mc:AlternateContent>
  <xr:revisionPtr revIDLastSave="0" documentId="13_ncr:1_{6C1B5528-C6B4-8343-BEA5-B545A2C4DE58}" xr6:coauthVersionLast="36" xr6:coauthVersionMax="36" xr10:uidLastSave="{00000000-0000-0000-0000-000000000000}"/>
  <bookViews>
    <workbookView xWindow="0" yWindow="460" windowWidth="28800" windowHeight="16600" tabRatio="500" xr2:uid="{00000000-000D-0000-FFFF-FFFF00000000}"/>
  </bookViews>
  <sheets>
    <sheet name="Helical Compression Springs" sheetId="3" r:id="rId1"/>
  </sheets>
  <definedNames>
    <definedName name="Active_coils">'Helical Compression Springs'!$E$28</definedName>
    <definedName name="C_freeheight">#REF!</definedName>
    <definedName name="Cn_total">#REF!</definedName>
    <definedName name="D">#REF!</definedName>
    <definedName name="Diam_inner">'Helical Compression Springs'!$E$11</definedName>
    <definedName name="Diam_nominal">'Helical Compression Springs'!$E$22</definedName>
    <definedName name="Diam_outer">'Helical Compression Springs'!$E$10</definedName>
    <definedName name="Diam_wire">'Helical Compression Springs'!$E$13</definedName>
    <definedName name="Dnom_1">'Helical Compression Springs'!$E$20</definedName>
    <definedName name="Dnom_2">'Helical Compression Springs'!$E$21</definedName>
    <definedName name="Force_applied">'Helical Compression Springs'!$E$33</definedName>
    <definedName name="Height_free">'Helical Compression Springs'!$E$12</definedName>
    <definedName name="mat_ShearMod">'Helical Compression Springs'!$E$17</definedName>
    <definedName name="meas_pitch">'Helical Compression Springs'!$E$16</definedName>
    <definedName name="n_total">'Helical Compression Springs'!$E$14</definedName>
    <definedName name="Smat">'Helical Compression Springs'!$E$9</definedName>
    <definedName name="Spring_Index">'Helical Compression Springs'!$E$23</definedName>
    <definedName name="Spring_stiffness">'Helical Compression Springs'!$E$29</definedName>
    <definedName name="Wahl_factor">'Helical Compression Springs'!$E$27</definedName>
    <definedName name="YMat">'Helical Compression Springs'!$E$43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3" l="1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17" i="3"/>
  <c r="K18" i="3"/>
  <c r="K19" i="3"/>
  <c r="K20" i="3"/>
  <c r="K21" i="3"/>
  <c r="K22" i="3"/>
  <c r="K23" i="3"/>
  <c r="K24" i="3"/>
  <c r="K25" i="3"/>
  <c r="K26" i="3"/>
  <c r="K16" i="3"/>
  <c r="K12" i="3"/>
  <c r="K13" i="3"/>
  <c r="K14" i="3"/>
  <c r="K15" i="3"/>
  <c r="E34" i="3"/>
  <c r="K11" i="3"/>
  <c r="E18" i="3" s="1"/>
  <c r="K10" i="3"/>
  <c r="E16" i="3"/>
  <c r="O11" i="3"/>
  <c r="O12" i="3"/>
  <c r="O13" i="3"/>
  <c r="E28" i="3" s="1"/>
  <c r="O10" i="3"/>
  <c r="E21" i="3"/>
  <c r="E20" i="3"/>
  <c r="E17" i="3" l="1"/>
  <c r="E22" i="3"/>
  <c r="P12" i="3"/>
  <c r="P13" i="3"/>
  <c r="P11" i="3"/>
  <c r="P10" i="3"/>
  <c r="E23" i="3" l="1"/>
  <c r="E39" i="3"/>
  <c r="E30" i="3"/>
  <c r="E29" i="3"/>
  <c r="E41" i="3" s="1"/>
  <c r="E27" i="3"/>
  <c r="E37" i="3" s="1"/>
  <c r="E38" i="3" s="1"/>
  <c r="E40" i="3" l="1"/>
  <c r="E42" i="3"/>
  <c r="E45" i="3" s="1"/>
  <c r="E46" i="3" s="1"/>
</calcChain>
</file>

<file path=xl/sharedStrings.xml><?xml version="1.0" encoding="utf-8"?>
<sst xmlns="http://schemas.openxmlformats.org/spreadsheetml/2006/main" count="150" uniqueCount="122">
  <si>
    <t>Author: Folkers Rojas</t>
  </si>
  <si>
    <t>Description</t>
  </si>
  <si>
    <t>Value</t>
  </si>
  <si>
    <t>Unit</t>
  </si>
  <si>
    <t>mm</t>
  </si>
  <si>
    <t>Parameters</t>
  </si>
  <si>
    <t>Metric Values</t>
  </si>
  <si>
    <t>is (R1+R2)/ (2*R1*R2)</t>
  </si>
  <si>
    <t>N</t>
  </si>
  <si>
    <t>1 lbs 4.45 N</t>
  </si>
  <si>
    <t>-</t>
  </si>
  <si>
    <t>Fill IN</t>
  </si>
  <si>
    <t>Results</t>
  </si>
  <si>
    <t>Date: 20200713</t>
  </si>
  <si>
    <t>Title: Helical Compression Springs Loading</t>
  </si>
  <si>
    <t>Source: Section 52-4 PE Mechanical Engineering Reference manual</t>
  </si>
  <si>
    <t>Material of Spring</t>
  </si>
  <si>
    <t>Inner Diameter of Helical Spring</t>
  </si>
  <si>
    <t>Outer Diameter of Helical Spring</t>
  </si>
  <si>
    <t>Materials</t>
  </si>
  <si>
    <t>End Configuration</t>
  </si>
  <si>
    <t>Square &amp; Ground</t>
  </si>
  <si>
    <t>Square</t>
  </si>
  <si>
    <t>Plain</t>
  </si>
  <si>
    <t>Free height</t>
  </si>
  <si>
    <t>end coils (n*)</t>
  </si>
  <si>
    <t>free height (h_f)</t>
  </si>
  <si>
    <t>solid height (h_s)</t>
  </si>
  <si>
    <t>pitch (p)</t>
  </si>
  <si>
    <t>C &lt; 4 Difficult to wind</t>
  </si>
  <si>
    <t>C &gt; 12 flimsy &amp; tend to buckle</t>
  </si>
  <si>
    <t>Nominal C between 8 and 10</t>
  </si>
  <si>
    <t>Clutch springs 5</t>
  </si>
  <si>
    <t>Nominal Diameter per Outer &amp; inner measurements</t>
  </si>
  <si>
    <t>Wire diameter</t>
  </si>
  <si>
    <t>Nominal Diameter per Outer &amp; wire Dimeter</t>
  </si>
  <si>
    <t>Nominal Diameter Average (since measurements)</t>
  </si>
  <si>
    <t>Intermediate Values calculated</t>
  </si>
  <si>
    <t>Number of Total Coils (n_total)</t>
  </si>
  <si>
    <t xml:space="preserve">Number of Active Coils Corrected for Ends </t>
  </si>
  <si>
    <t>Coils End Configuration</t>
  </si>
  <si>
    <t>total coils (n_actives)</t>
  </si>
  <si>
    <t xml:space="preserve">Pitch </t>
  </si>
  <si>
    <t>Shear Modulus (G)</t>
  </si>
  <si>
    <t>lbf/in^2</t>
  </si>
  <si>
    <t>End configuration Adjustment Table</t>
  </si>
  <si>
    <t>Plain &amp; Ground</t>
  </si>
  <si>
    <t>Spring Index C, with Notes</t>
  </si>
  <si>
    <t>Spring Stiffness Coefficient</t>
  </si>
  <si>
    <t>Shear Modulus of Spring based on Table</t>
  </si>
  <si>
    <t>High Carbon Wire ASTM-A227-A230</t>
  </si>
  <si>
    <t>USER Input</t>
  </si>
  <si>
    <t>MPA</t>
  </si>
  <si>
    <t>MPa</t>
  </si>
  <si>
    <t>N/mm^2</t>
  </si>
  <si>
    <t>N/mm</t>
  </si>
  <si>
    <t>Library of Springs</t>
  </si>
  <si>
    <t>Source</t>
  </si>
  <si>
    <t>k spring (N/mm)</t>
  </si>
  <si>
    <t>Loading</t>
  </si>
  <si>
    <t>Force</t>
  </si>
  <si>
    <t>Wahl Correction Factor</t>
  </si>
  <si>
    <t>Maximum Shear Stress</t>
  </si>
  <si>
    <t xml:space="preserve">Equation 52.14 </t>
  </si>
  <si>
    <t>lbf</t>
  </si>
  <si>
    <t>See Table</t>
  </si>
  <si>
    <t>TurboButton-VonShef</t>
  </si>
  <si>
    <t>Displacement</t>
  </si>
  <si>
    <t>psi</t>
  </si>
  <si>
    <t>Analysis</t>
  </si>
  <si>
    <t>Alloy Steel (SAE 6150,ASTM A2320)</t>
  </si>
  <si>
    <t>Alloy Steel (AISI9254,ASTM A401))</t>
  </si>
  <si>
    <t>Alloy Steel (AISI 9260)</t>
  </si>
  <si>
    <t>Stainless (AISI302, ASTM A313)</t>
  </si>
  <si>
    <t>Stainless (AISI 410, 420)</t>
  </si>
  <si>
    <t>Stainless (17-7 PH)</t>
  </si>
  <si>
    <t>Stainless (18-2)</t>
  </si>
  <si>
    <t>Stainless A286</t>
  </si>
  <si>
    <t>Copper Alloy ASTM B159</t>
  </si>
  <si>
    <t>Copper Alloy ASTM B99(A) - 1</t>
  </si>
  <si>
    <t xml:space="preserve">Copper Alloy ASTM B99(A) - 2 </t>
  </si>
  <si>
    <t>Copper Alloy ASTM B197</t>
  </si>
  <si>
    <t>Nickel Alloy (inconel 600)</t>
  </si>
  <si>
    <t>Nickel Alloy (Inconel X750)</t>
  </si>
  <si>
    <t>Ref: See Machinery's Handbook pg 318 in 29th Edition</t>
  </si>
  <si>
    <t>per PE Ref. Manual</t>
  </si>
  <si>
    <t>Comments</t>
  </si>
  <si>
    <t>1) If you want square wire see Reference for Machinery's pg 318</t>
  </si>
  <si>
    <t>per Machinery's Handbook</t>
  </si>
  <si>
    <t>Torsional Stress</t>
  </si>
  <si>
    <t>0) Maximum Shear stress occurs at inner face of wire coil. This is where torsional and shear stresses are additive</t>
  </si>
  <si>
    <t>See Comment 0</t>
  </si>
  <si>
    <t>per Machinery's Hanbook pg 318</t>
  </si>
  <si>
    <t>Maximum Working Stress</t>
  </si>
  <si>
    <t>Brass Spring Wire</t>
  </si>
  <si>
    <t>Phosphor Bronze</t>
  </si>
  <si>
    <t>Music Wire</t>
  </si>
  <si>
    <t>Beryllium Copper</t>
  </si>
  <si>
    <t>Hard Drawn Steel Wire</t>
  </si>
  <si>
    <t>Carbon Spring Steel</t>
  </si>
  <si>
    <t>Monel</t>
  </si>
  <si>
    <t>K-Monel</t>
  </si>
  <si>
    <t>Permanickel</t>
  </si>
  <si>
    <t>Stainless Steel 18-8</t>
  </si>
  <si>
    <t>Stainless Chromium 431</t>
  </si>
  <si>
    <t>Inconel</t>
  </si>
  <si>
    <t>High Speed Steel</t>
  </si>
  <si>
    <t>Inconel X</t>
  </si>
  <si>
    <t>Nickel Alloy (C902)</t>
  </si>
  <si>
    <t>Chromium Molybdenum Vanadium</t>
  </si>
  <si>
    <t>Cobenium, Elgiloy</t>
  </si>
  <si>
    <t>Effective Stress</t>
  </si>
  <si>
    <t>per Machinery's Hanbook pg 316</t>
  </si>
  <si>
    <t>Material for Maximum Working Stress Calc</t>
  </si>
  <si>
    <t>* eventually Combine tables</t>
  </si>
  <si>
    <t>Ratio (Max Shear Stress to maximum Workign stress)</t>
  </si>
  <si>
    <t>Status</t>
  </si>
  <si>
    <t>Alloy Spring Steel</t>
  </si>
  <si>
    <t>Maximum Working Stress per Machinery's Table</t>
  </si>
  <si>
    <t>Drop Down Select</t>
  </si>
  <si>
    <t xml:space="preserve">Spring geometry </t>
  </si>
  <si>
    <t>STATUS: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</si>
</sst>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164" fontId="0" fillId="4" borderId="1" xfId="0" applyNumberForma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2" fontId="0" fillId="4" borderId="1" xfId="0" applyNumberFormat="1" applyFill="1" applyBorder="1"/>
    <xf numFmtId="165" fontId="0" fillId="4" borderId="1" xfId="0" applyNumberFormat="1" applyFill="1" applyBorder="1"/>
    <xf numFmtId="0" fontId="0" fillId="2" borderId="1" xfId="0" applyFill="1" applyBorder="1" applyAlignment="1">
      <alignment horizontal="center" vertical="center"/>
    </xf>
    <xf numFmtId="0" fontId="0" fillId="2" borderId="10" xfId="0" applyFill="1" applyBorder="1"/>
    <xf numFmtId="2" fontId="0" fillId="2" borderId="1" xfId="0" applyNumberFormat="1" applyFill="1" applyBorder="1"/>
    <xf numFmtId="165" fontId="0" fillId="2" borderId="1" xfId="0" applyNumberFormat="1" applyFill="1" applyBorder="1"/>
    <xf numFmtId="11" fontId="0" fillId="2" borderId="1" xfId="0" applyNumberFormat="1" applyFill="1" applyBorder="1"/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2" fontId="5" fillId="2" borderId="1" xfId="0" applyNumberFormat="1" applyFont="1" applyFill="1" applyBorder="1"/>
    <xf numFmtId="2" fontId="0" fillId="4" borderId="1" xfId="0" applyNumberFormat="1" applyFont="1" applyFill="1" applyBorder="1"/>
    <xf numFmtId="164" fontId="0" fillId="2" borderId="1" xfId="0" applyNumberFormat="1" applyFont="1" applyFill="1" applyBorder="1"/>
    <xf numFmtId="1" fontId="5" fillId="2" borderId="1" xfId="0" applyNumberFormat="1" applyFont="1" applyFill="1" applyBorder="1"/>
    <xf numFmtId="0" fontId="0" fillId="2" borderId="9" xfId="0" applyFill="1" applyBorder="1" applyAlignment="1">
      <alignment wrapText="1"/>
    </xf>
    <xf numFmtId="0" fontId="6" fillId="2" borderId="0" xfId="0" applyFont="1" applyFill="1" applyAlignment="1"/>
    <xf numFmtId="0" fontId="0" fillId="4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2" borderId="0" xfId="0" applyFont="1" applyFill="1"/>
    <xf numFmtId="0" fontId="0" fillId="5" borderId="1" xfId="0" applyFont="1" applyFill="1" applyBorder="1"/>
    <xf numFmtId="0" fontId="7" fillId="2" borderId="0" xfId="0" applyFont="1" applyFill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7775-94AA-8444-9DC1-9234C03B008E}">
  <dimension ref="A1:S53"/>
  <sheetViews>
    <sheetView tabSelected="1" topLeftCell="I2" zoomScale="170" zoomScaleNormal="170" zoomScalePageLayoutView="150" workbookViewId="0">
      <selection activeCell="E9" sqref="E9"/>
    </sheetView>
  </sheetViews>
  <sheetFormatPr baseColWidth="10" defaultRowHeight="16" x14ac:dyDescent="0.2"/>
  <cols>
    <col min="1" max="1" width="10.5" style="1" customWidth="1"/>
    <col min="2" max="2" width="10.83203125" style="1"/>
    <col min="3" max="3" width="9.33203125" style="1" customWidth="1"/>
    <col min="4" max="4" width="34.83203125" style="1" customWidth="1"/>
    <col min="5" max="5" width="15.6640625" style="1" customWidth="1"/>
    <col min="6" max="6" width="14.1640625" style="1" customWidth="1"/>
    <col min="7" max="7" width="27.5" style="1" customWidth="1"/>
    <col min="8" max="8" width="2.5" style="1" customWidth="1"/>
    <col min="9" max="9" width="30.6640625" style="1" customWidth="1"/>
    <col min="10" max="10" width="12.33203125" style="1" customWidth="1"/>
    <col min="11" max="11" width="11.5" style="1" customWidth="1"/>
    <col min="12" max="12" width="5" style="1" customWidth="1"/>
    <col min="13" max="13" width="19.83203125" style="1" customWidth="1"/>
    <col min="14" max="14" width="16.1640625" style="1" customWidth="1"/>
    <col min="15" max="15" width="18.83203125" style="1" customWidth="1"/>
    <col min="16" max="16" width="16.6640625" style="1" customWidth="1"/>
    <col min="17" max="17" width="16.83203125" style="1" customWidth="1"/>
    <col min="18" max="16384" width="10.83203125" style="1"/>
  </cols>
  <sheetData>
    <row r="1" spans="2:19" x14ac:dyDescent="0.2">
      <c r="B1" s="1" t="s">
        <v>0</v>
      </c>
      <c r="E1" s="34" t="s">
        <v>119</v>
      </c>
      <c r="G1" s="1" t="s">
        <v>9</v>
      </c>
    </row>
    <row r="2" spans="2:19" x14ac:dyDescent="0.2">
      <c r="B2" s="1" t="s">
        <v>13</v>
      </c>
      <c r="E2" s="3" t="s">
        <v>11</v>
      </c>
    </row>
    <row r="3" spans="2:19" x14ac:dyDescent="0.2">
      <c r="B3" s="1" t="s">
        <v>14</v>
      </c>
      <c r="E3" s="35" t="s">
        <v>12</v>
      </c>
    </row>
    <row r="4" spans="2:19" x14ac:dyDescent="0.2">
      <c r="B4" s="1" t="s">
        <v>15</v>
      </c>
    </row>
    <row r="5" spans="2:19" x14ac:dyDescent="0.2">
      <c r="B5" s="37" t="s">
        <v>121</v>
      </c>
    </row>
    <row r="6" spans="2:19" ht="16" customHeight="1" x14ac:dyDescent="0.2">
      <c r="C6" s="41" t="s">
        <v>5</v>
      </c>
      <c r="D6" s="42"/>
      <c r="E6" s="45" t="s">
        <v>6</v>
      </c>
      <c r="F6" s="45"/>
      <c r="G6" s="46" t="s">
        <v>1</v>
      </c>
      <c r="M6" s="1" t="s">
        <v>84</v>
      </c>
    </row>
    <row r="7" spans="2:19" ht="17" thickBot="1" x14ac:dyDescent="0.25">
      <c r="C7" s="43"/>
      <c r="D7" s="44"/>
      <c r="E7" s="4" t="s">
        <v>2</v>
      </c>
      <c r="F7" s="4" t="s">
        <v>3</v>
      </c>
      <c r="G7" s="46"/>
    </row>
    <row r="8" spans="2:19" ht="17" thickBot="1" x14ac:dyDescent="0.25">
      <c r="C8" s="38" t="s">
        <v>120</v>
      </c>
      <c r="D8" s="39"/>
      <c r="E8" s="39"/>
      <c r="F8" s="39"/>
      <c r="G8" s="40"/>
      <c r="I8" s="51" t="s">
        <v>19</v>
      </c>
      <c r="J8" s="51" t="s">
        <v>43</v>
      </c>
      <c r="K8" s="51"/>
      <c r="M8" s="52" t="s">
        <v>45</v>
      </c>
      <c r="N8" s="53"/>
      <c r="O8" s="53"/>
      <c r="P8" s="53"/>
      <c r="Q8" s="53"/>
      <c r="R8" s="53"/>
      <c r="S8" s="54"/>
    </row>
    <row r="9" spans="2:19" x14ac:dyDescent="0.2">
      <c r="C9" s="6" t="s">
        <v>16</v>
      </c>
      <c r="D9" s="7"/>
      <c r="E9" s="36" t="s">
        <v>72</v>
      </c>
      <c r="F9" s="8" t="s">
        <v>65</v>
      </c>
      <c r="G9" s="2"/>
      <c r="I9" s="51"/>
      <c r="J9" s="19" t="s">
        <v>44</v>
      </c>
      <c r="K9" s="19" t="s">
        <v>52</v>
      </c>
      <c r="M9" s="20" t="s">
        <v>20</v>
      </c>
      <c r="N9" s="20" t="s">
        <v>25</v>
      </c>
      <c r="O9" s="20" t="s">
        <v>41</v>
      </c>
      <c r="P9" s="20" t="s">
        <v>26</v>
      </c>
      <c r="Q9" s="20" t="s">
        <v>27</v>
      </c>
      <c r="R9" s="20" t="s">
        <v>28</v>
      </c>
      <c r="S9" s="20"/>
    </row>
    <row r="10" spans="2:19" x14ac:dyDescent="0.2">
      <c r="C10" s="47" t="s">
        <v>18</v>
      </c>
      <c r="D10" s="48"/>
      <c r="E10" s="10">
        <v>75</v>
      </c>
      <c r="F10" s="5" t="s">
        <v>4</v>
      </c>
      <c r="G10" s="2"/>
      <c r="I10" s="2" t="s">
        <v>51</v>
      </c>
      <c r="J10" s="23">
        <v>10000000</v>
      </c>
      <c r="K10" s="23">
        <f>J10*0.006894</f>
        <v>68940</v>
      </c>
      <c r="M10" s="2" t="s">
        <v>23</v>
      </c>
      <c r="N10" s="2">
        <v>0</v>
      </c>
      <c r="O10" s="2">
        <f>n_total-N10</f>
        <v>8</v>
      </c>
      <c r="P10" s="2">
        <f>meas_pitch*O10+Diam_wire</f>
        <v>108</v>
      </c>
      <c r="Q10" s="2"/>
      <c r="R10" s="2"/>
      <c r="S10" s="2"/>
    </row>
    <row r="11" spans="2:19" x14ac:dyDescent="0.2">
      <c r="C11" s="8" t="s">
        <v>17</v>
      </c>
      <c r="D11" s="9"/>
      <c r="E11" s="10">
        <v>69</v>
      </c>
      <c r="F11" s="8" t="s">
        <v>4</v>
      </c>
      <c r="G11" s="2"/>
      <c r="I11" s="2" t="s">
        <v>50</v>
      </c>
      <c r="J11" s="23">
        <v>11500000</v>
      </c>
      <c r="K11" s="23">
        <f>J11*0.006894</f>
        <v>79281</v>
      </c>
      <c r="M11" s="2" t="s">
        <v>46</v>
      </c>
      <c r="N11" s="2">
        <v>1</v>
      </c>
      <c r="O11" s="2">
        <f>n_total-N11</f>
        <v>7</v>
      </c>
      <c r="P11" s="22">
        <f>meas_pitch*O11+Diam_wire</f>
        <v>95.5</v>
      </c>
      <c r="Q11" s="2"/>
      <c r="R11" s="2"/>
      <c r="S11" s="2"/>
    </row>
    <row r="12" spans="2:19" x14ac:dyDescent="0.2">
      <c r="C12" s="8" t="s">
        <v>24</v>
      </c>
      <c r="D12" s="9"/>
      <c r="E12" s="3">
        <v>100</v>
      </c>
      <c r="F12" s="8" t="s">
        <v>4</v>
      </c>
      <c r="G12" s="2"/>
      <c r="I12" s="2" t="s">
        <v>70</v>
      </c>
      <c r="J12" s="23">
        <v>11500000</v>
      </c>
      <c r="K12" s="23">
        <f t="shared" ref="K12:K26" si="0">J12*0.006894</f>
        <v>79281</v>
      </c>
      <c r="M12" s="2" t="s">
        <v>22</v>
      </c>
      <c r="N12" s="2">
        <v>2</v>
      </c>
      <c r="O12" s="2">
        <f>n_total-N12</f>
        <v>6</v>
      </c>
      <c r="P12" s="22">
        <f>meas_pitch*O12+Diam_wire</f>
        <v>83</v>
      </c>
      <c r="Q12" s="2"/>
      <c r="R12" s="2"/>
      <c r="S12" s="2"/>
    </row>
    <row r="13" spans="2:19" x14ac:dyDescent="0.2">
      <c r="C13" s="8" t="s">
        <v>34</v>
      </c>
      <c r="D13" s="9"/>
      <c r="E13" s="17">
        <v>8</v>
      </c>
      <c r="F13" s="8" t="s">
        <v>4</v>
      </c>
      <c r="G13" s="2"/>
      <c r="I13" s="2" t="s">
        <v>71</v>
      </c>
      <c r="J13" s="23">
        <v>11500000</v>
      </c>
      <c r="K13" s="23">
        <f t="shared" si="0"/>
        <v>79281</v>
      </c>
      <c r="M13" s="2" t="s">
        <v>21</v>
      </c>
      <c r="N13" s="2">
        <v>2</v>
      </c>
      <c r="O13" s="2">
        <f>n_total-N13</f>
        <v>6</v>
      </c>
      <c r="P13" s="22">
        <f>meas_pitch*O13+Diam_wire</f>
        <v>83</v>
      </c>
      <c r="Q13" s="2"/>
      <c r="R13" s="2"/>
      <c r="S13" s="2"/>
    </row>
    <row r="14" spans="2:19" x14ac:dyDescent="0.2">
      <c r="C14" s="6" t="s">
        <v>38</v>
      </c>
      <c r="D14" s="7"/>
      <c r="E14" s="18">
        <v>8</v>
      </c>
      <c r="F14" s="8" t="s">
        <v>10</v>
      </c>
      <c r="G14" s="2"/>
      <c r="I14" s="2" t="s">
        <v>72</v>
      </c>
      <c r="J14" s="23">
        <v>11500000</v>
      </c>
      <c r="K14" s="23">
        <f t="shared" si="0"/>
        <v>79281</v>
      </c>
    </row>
    <row r="15" spans="2:19" x14ac:dyDescent="0.2">
      <c r="C15" s="49" t="s">
        <v>40</v>
      </c>
      <c r="D15" s="50"/>
      <c r="E15" s="36" t="s">
        <v>22</v>
      </c>
      <c r="F15" s="8" t="s">
        <v>65</v>
      </c>
      <c r="G15" s="2"/>
      <c r="I15" s="2" t="s">
        <v>73</v>
      </c>
      <c r="J15" s="23">
        <v>10000000</v>
      </c>
      <c r="K15" s="23">
        <f t="shared" si="0"/>
        <v>68940</v>
      </c>
    </row>
    <row r="16" spans="2:19" x14ac:dyDescent="0.2">
      <c r="C16" s="8" t="s">
        <v>42</v>
      </c>
      <c r="D16" s="9"/>
      <c r="E16" s="21">
        <f>Height_free/n_total</f>
        <v>12.5</v>
      </c>
      <c r="F16" s="5" t="s">
        <v>4</v>
      </c>
      <c r="G16" s="2"/>
      <c r="I16" s="2" t="s">
        <v>74</v>
      </c>
      <c r="J16" s="23">
        <v>11000000</v>
      </c>
      <c r="K16" s="23">
        <f t="shared" si="0"/>
        <v>75834</v>
      </c>
    </row>
    <row r="17" spans="3:15" x14ac:dyDescent="0.2">
      <c r="C17" s="8" t="s">
        <v>49</v>
      </c>
      <c r="D17" s="9"/>
      <c r="E17" s="23">
        <f>E18</f>
        <v>79281</v>
      </c>
      <c r="F17" s="5" t="s">
        <v>54</v>
      </c>
      <c r="G17" s="2"/>
      <c r="I17" s="2" t="s">
        <v>75</v>
      </c>
      <c r="J17" s="23">
        <v>11000000</v>
      </c>
      <c r="K17" s="23">
        <f t="shared" si="0"/>
        <v>75834</v>
      </c>
    </row>
    <row r="18" spans="3:15" x14ac:dyDescent="0.2">
      <c r="C18" s="8"/>
      <c r="D18" s="9"/>
      <c r="E18" s="23">
        <f>IF(Smat=I10,K10,IF(Smat=I11,K11,IF(Smat=I12,K12,IF(Smat=I13,K13,IF(Smat=I14,K14,IF(Smat=I15,K15,IF(Smat=I16,K16,IF(Smat=I17,K17,IF(Smat=I18,K18,IF(Smat=I19,K19,IF(Smat=I20,K20,IF(Smat=I21,K21,IF(Smat=I22,K22,IF(Smat=I23,K23,IF(Smat=I24,K24,IF(Smat=I25,K25,IF(Smat=I26,K26,IF(Smat=I27,K27,"Error"))))))))))))))))))</f>
        <v>79281</v>
      </c>
      <c r="F18" s="8" t="s">
        <v>53</v>
      </c>
      <c r="G18" s="2"/>
      <c r="I18" s="2" t="s">
        <v>76</v>
      </c>
      <c r="J18" s="23">
        <v>9800000</v>
      </c>
      <c r="K18" s="23">
        <f t="shared" si="0"/>
        <v>67561.2</v>
      </c>
    </row>
    <row r="19" spans="3:15" x14ac:dyDescent="0.2">
      <c r="C19" s="38" t="s">
        <v>37</v>
      </c>
      <c r="D19" s="39"/>
      <c r="E19" s="39"/>
      <c r="F19" s="39"/>
      <c r="G19" s="40"/>
      <c r="I19" s="2" t="s">
        <v>77</v>
      </c>
      <c r="J19" s="23">
        <v>10400000</v>
      </c>
      <c r="K19" s="23">
        <f t="shared" si="0"/>
        <v>71697.600000000006</v>
      </c>
    </row>
    <row r="20" spans="3:15" x14ac:dyDescent="0.2">
      <c r="C20" s="49" t="s">
        <v>33</v>
      </c>
      <c r="D20" s="50"/>
      <c r="E20" s="2">
        <f>(Diam_outer+Diam_inner)/2</f>
        <v>72</v>
      </c>
      <c r="F20" s="15" t="s">
        <v>4</v>
      </c>
      <c r="G20" s="2"/>
      <c r="I20" s="2" t="s">
        <v>78</v>
      </c>
      <c r="J20" s="23">
        <v>6300000</v>
      </c>
      <c r="K20" s="23">
        <f t="shared" si="0"/>
        <v>43432.2</v>
      </c>
      <c r="M20" s="2" t="s">
        <v>56</v>
      </c>
      <c r="N20" s="2"/>
      <c r="O20" s="2"/>
    </row>
    <row r="21" spans="3:15" x14ac:dyDescent="0.2">
      <c r="C21" s="49" t="s">
        <v>35</v>
      </c>
      <c r="D21" s="50"/>
      <c r="E21" s="2">
        <f>Diam_outer-Diam_wire</f>
        <v>67</v>
      </c>
      <c r="F21" s="8" t="s">
        <v>4</v>
      </c>
      <c r="G21" s="2"/>
      <c r="I21" s="2" t="s">
        <v>79</v>
      </c>
      <c r="J21" s="23">
        <v>5600000</v>
      </c>
      <c r="K21" s="23">
        <f t="shared" si="0"/>
        <v>38606.400000000001</v>
      </c>
      <c r="M21" s="2" t="s">
        <v>57</v>
      </c>
      <c r="N21" s="2" t="s">
        <v>58</v>
      </c>
      <c r="O21" s="2"/>
    </row>
    <row r="22" spans="3:15" x14ac:dyDescent="0.2">
      <c r="C22" s="13" t="s">
        <v>36</v>
      </c>
      <c r="D22" s="14"/>
      <c r="E22" s="2">
        <f>AVERAGE(E20:E21)</f>
        <v>69.5</v>
      </c>
      <c r="F22" s="15" t="s">
        <v>4</v>
      </c>
      <c r="G22" s="2"/>
      <c r="I22" s="2" t="s">
        <v>80</v>
      </c>
      <c r="J22" s="23">
        <v>6400000</v>
      </c>
      <c r="K22" s="23">
        <f t="shared" si="0"/>
        <v>44121.599999999999</v>
      </c>
      <c r="M22" s="2" t="s">
        <v>66</v>
      </c>
      <c r="N22" s="2">
        <v>4.13</v>
      </c>
      <c r="O22" s="2"/>
    </row>
    <row r="23" spans="3:15" x14ac:dyDescent="0.2">
      <c r="C23" s="55" t="s">
        <v>47</v>
      </c>
      <c r="D23" s="56"/>
      <c r="E23" s="2">
        <f>Diam_nominal/Diam_wire</f>
        <v>8.6875</v>
      </c>
      <c r="F23" s="15" t="s">
        <v>10</v>
      </c>
      <c r="G23" s="2" t="s">
        <v>30</v>
      </c>
      <c r="I23" s="2" t="s">
        <v>81</v>
      </c>
      <c r="J23" s="23">
        <v>7000000</v>
      </c>
      <c r="K23" s="23">
        <f t="shared" si="0"/>
        <v>48258</v>
      </c>
      <c r="M23" s="2"/>
      <c r="N23" s="2"/>
      <c r="O23" s="2"/>
    </row>
    <row r="24" spans="3:15" x14ac:dyDescent="0.2">
      <c r="C24" s="57"/>
      <c r="D24" s="58"/>
      <c r="E24" s="61"/>
      <c r="F24" s="62"/>
      <c r="G24" s="2" t="s">
        <v>31</v>
      </c>
      <c r="I24" s="2" t="s">
        <v>82</v>
      </c>
      <c r="J24" s="23">
        <v>11000000</v>
      </c>
      <c r="K24" s="23">
        <f t="shared" si="0"/>
        <v>75834</v>
      </c>
      <c r="M24" s="2"/>
      <c r="N24" s="2"/>
      <c r="O24" s="2"/>
    </row>
    <row r="25" spans="3:15" x14ac:dyDescent="0.2">
      <c r="C25" s="57"/>
      <c r="D25" s="58"/>
      <c r="E25" s="63"/>
      <c r="F25" s="64"/>
      <c r="G25" s="2" t="s">
        <v>32</v>
      </c>
      <c r="I25" s="2" t="s">
        <v>83</v>
      </c>
      <c r="J25" s="23">
        <v>11500000</v>
      </c>
      <c r="K25" s="23">
        <f t="shared" si="0"/>
        <v>79281</v>
      </c>
      <c r="M25" s="2"/>
      <c r="N25" s="2"/>
      <c r="O25" s="2"/>
    </row>
    <row r="26" spans="3:15" x14ac:dyDescent="0.2">
      <c r="C26" s="59"/>
      <c r="D26" s="60"/>
      <c r="E26" s="65"/>
      <c r="F26" s="66"/>
      <c r="G26" s="2" t="s">
        <v>29</v>
      </c>
      <c r="I26" s="2" t="s">
        <v>108</v>
      </c>
      <c r="J26" s="23">
        <v>9700000</v>
      </c>
      <c r="K26" s="23">
        <f t="shared" si="0"/>
        <v>66871.8</v>
      </c>
      <c r="M26" s="2"/>
      <c r="N26" s="2"/>
      <c r="O26" s="2"/>
    </row>
    <row r="27" spans="3:15" x14ac:dyDescent="0.2">
      <c r="C27" s="24" t="s">
        <v>61</v>
      </c>
      <c r="D27" s="25"/>
      <c r="E27" s="21">
        <f>(4*Spring_Index-1)/(4*Spring_Index-4)</f>
        <v>1.0975609756097562</v>
      </c>
      <c r="F27" s="15" t="s">
        <v>10</v>
      </c>
      <c r="G27" s="2"/>
      <c r="I27" s="2"/>
      <c r="J27" s="2"/>
      <c r="K27" s="2"/>
      <c r="M27" s="2"/>
      <c r="N27" s="2"/>
      <c r="O27" s="2"/>
    </row>
    <row r="28" spans="3:15" x14ac:dyDescent="0.2">
      <c r="C28" s="8" t="s">
        <v>39</v>
      </c>
      <c r="D28" s="9"/>
      <c r="E28" s="2">
        <f>IF(E15=M10,O10, IF(E15=M11,O11,IF(E15=M12,O12,IF(E15=M13,O13,"Error"))))</f>
        <v>6</v>
      </c>
      <c r="F28" s="8" t="s">
        <v>10</v>
      </c>
      <c r="G28" s="2" t="s">
        <v>7</v>
      </c>
      <c r="M28" s="2"/>
      <c r="N28" s="2"/>
      <c r="O28" s="2"/>
    </row>
    <row r="29" spans="3:15" x14ac:dyDescent="0.2">
      <c r="C29" s="8" t="s">
        <v>48</v>
      </c>
      <c r="D29" s="9"/>
      <c r="E29" s="21">
        <f>mat_ShearMod*Diam_wire/(8*(Spring_Index^3)*Active_coils)</f>
        <v>20.152708183848862</v>
      </c>
      <c r="F29" s="8" t="s">
        <v>55</v>
      </c>
      <c r="G29" s="2" t="s">
        <v>85</v>
      </c>
      <c r="M29" s="2"/>
      <c r="N29" s="2"/>
      <c r="O29" s="2"/>
    </row>
    <row r="30" spans="3:15" x14ac:dyDescent="0.2">
      <c r="C30" s="15" t="s">
        <v>48</v>
      </c>
      <c r="D30" s="16"/>
      <c r="E30" s="21">
        <f>(mat_ShearMod*(Diam_wire^4))/(8*Active_coils*(Diam_nominal^3))</f>
        <v>20.152708183848862</v>
      </c>
      <c r="F30" s="15" t="s">
        <v>55</v>
      </c>
      <c r="G30" s="2" t="s">
        <v>88</v>
      </c>
      <c r="M30" s="2"/>
      <c r="N30" s="2"/>
      <c r="O30" s="2"/>
    </row>
    <row r="31" spans="3:15" x14ac:dyDescent="0.2">
      <c r="C31" s="15"/>
      <c r="D31" s="16"/>
      <c r="E31" s="21"/>
      <c r="F31" s="15"/>
      <c r="G31" s="2"/>
      <c r="M31" s="2"/>
      <c r="N31" s="2"/>
      <c r="O31" s="2"/>
    </row>
    <row r="32" spans="3:15" ht="16" customHeight="1" x14ac:dyDescent="0.2">
      <c r="C32" s="38" t="s">
        <v>59</v>
      </c>
      <c r="D32" s="39"/>
      <c r="E32" s="39"/>
      <c r="F32" s="39"/>
      <c r="G32" s="40"/>
      <c r="M32" s="2"/>
      <c r="N32" s="2"/>
      <c r="O32" s="2"/>
    </row>
    <row r="33" spans="1:15" x14ac:dyDescent="0.2">
      <c r="C33" s="71" t="s">
        <v>60</v>
      </c>
      <c r="D33" s="72"/>
      <c r="E33" s="27">
        <v>1500</v>
      </c>
      <c r="F33" s="5" t="s">
        <v>8</v>
      </c>
      <c r="G33" s="2"/>
      <c r="M33" s="2"/>
      <c r="N33" s="2"/>
      <c r="O33" s="2"/>
    </row>
    <row r="34" spans="1:15" x14ac:dyDescent="0.2">
      <c r="C34" s="73"/>
      <c r="D34" s="74"/>
      <c r="E34" s="28">
        <f>Force_applied/4.44822</f>
        <v>337.21353710023334</v>
      </c>
      <c r="F34" s="8" t="s">
        <v>64</v>
      </c>
      <c r="G34" s="2"/>
      <c r="I34" s="51" t="s">
        <v>93</v>
      </c>
      <c r="J34" s="51" t="s">
        <v>93</v>
      </c>
      <c r="K34" s="51"/>
    </row>
    <row r="35" spans="1:15" x14ac:dyDescent="0.2">
      <c r="C35" s="49"/>
      <c r="D35" s="50"/>
      <c r="E35" s="11"/>
      <c r="F35" s="5"/>
      <c r="G35" s="2"/>
      <c r="I35" s="51"/>
      <c r="J35" s="19" t="s">
        <v>44</v>
      </c>
      <c r="K35" s="19" t="s">
        <v>52</v>
      </c>
    </row>
    <row r="36" spans="1:15" x14ac:dyDescent="0.2">
      <c r="C36" s="38" t="s">
        <v>69</v>
      </c>
      <c r="D36" s="39"/>
      <c r="E36" s="39"/>
      <c r="F36" s="39"/>
      <c r="G36" s="40"/>
      <c r="I36" s="2" t="s">
        <v>51</v>
      </c>
      <c r="J36" s="23"/>
      <c r="K36" s="23">
        <f>J36*0.006894</f>
        <v>0</v>
      </c>
    </row>
    <row r="37" spans="1:15" ht="16" customHeight="1" x14ac:dyDescent="0.2">
      <c r="C37" s="49" t="s">
        <v>62</v>
      </c>
      <c r="D37" s="50"/>
      <c r="E37" s="26">
        <f>(8*Force_applied*Spring_Index*Wahl_factor)/(PI()*Diam_wire^2)</f>
        <v>569.08203260659616</v>
      </c>
      <c r="F37" s="15" t="s">
        <v>53</v>
      </c>
      <c r="G37" s="30" t="s">
        <v>91</v>
      </c>
      <c r="I37" s="2" t="s">
        <v>94</v>
      </c>
      <c r="J37" s="23">
        <v>30000</v>
      </c>
      <c r="K37" s="23">
        <f>J37*0.006894</f>
        <v>206.82</v>
      </c>
    </row>
    <row r="38" spans="1:15" x14ac:dyDescent="0.2">
      <c r="C38" s="13"/>
      <c r="D38" s="14" t="s">
        <v>63</v>
      </c>
      <c r="E38" s="29">
        <f>E37*145</f>
        <v>82516.894727956445</v>
      </c>
      <c r="F38" s="15" t="s">
        <v>68</v>
      </c>
      <c r="G38" s="2"/>
      <c r="I38" s="2" t="s">
        <v>95</v>
      </c>
      <c r="J38" s="23">
        <v>35000</v>
      </c>
      <c r="K38" s="23">
        <f t="shared" ref="K38:K53" si="1">J38*0.006894</f>
        <v>241.29</v>
      </c>
    </row>
    <row r="39" spans="1:15" x14ac:dyDescent="0.2">
      <c r="C39" s="13" t="s">
        <v>89</v>
      </c>
      <c r="D39" s="14"/>
      <c r="E39" s="26">
        <f>(Force_applied*Diam_nominal)/(0.393*(Diam_wire^3))</f>
        <v>518.09995229007632</v>
      </c>
      <c r="F39" s="15" t="s">
        <v>53</v>
      </c>
      <c r="G39" s="2" t="s">
        <v>92</v>
      </c>
      <c r="I39" s="2" t="s">
        <v>96</v>
      </c>
      <c r="J39" s="23">
        <v>75000</v>
      </c>
      <c r="K39" s="23">
        <f t="shared" si="1"/>
        <v>517.04999999999995</v>
      </c>
    </row>
    <row r="40" spans="1:15" x14ac:dyDescent="0.2">
      <c r="C40" s="13"/>
      <c r="D40" s="14"/>
      <c r="E40" s="29">
        <f>(E39/6.89476)*1000</f>
        <v>75144.01549728727</v>
      </c>
      <c r="F40" s="15" t="s">
        <v>68</v>
      </c>
      <c r="G40" s="2"/>
      <c r="I40" s="2" t="s">
        <v>97</v>
      </c>
      <c r="J40" s="23">
        <v>40000</v>
      </c>
      <c r="K40" s="23">
        <f t="shared" si="1"/>
        <v>275.76</v>
      </c>
    </row>
    <row r="41" spans="1:15" x14ac:dyDescent="0.2">
      <c r="C41" s="13" t="s">
        <v>67</v>
      </c>
      <c r="D41" s="14"/>
      <c r="E41" s="26">
        <f>Force_applied/Spring_stiffness</f>
        <v>74.431683638537294</v>
      </c>
      <c r="F41" s="15" t="s">
        <v>4</v>
      </c>
      <c r="G41" s="2"/>
      <c r="I41" s="2" t="s">
        <v>98</v>
      </c>
      <c r="J41" s="23">
        <v>50000</v>
      </c>
      <c r="K41" s="23">
        <f t="shared" si="1"/>
        <v>344.7</v>
      </c>
    </row>
    <row r="42" spans="1:15" x14ac:dyDescent="0.2">
      <c r="C42" s="13" t="s">
        <v>111</v>
      </c>
      <c r="D42" s="14"/>
      <c r="E42" s="26">
        <f>MAX(E39,E37)</f>
        <v>569.08203260659616</v>
      </c>
      <c r="F42" s="15" t="s">
        <v>53</v>
      </c>
      <c r="G42" s="2"/>
      <c r="I42" s="2" t="s">
        <v>99</v>
      </c>
      <c r="J42" s="23">
        <v>55000</v>
      </c>
      <c r="K42" s="23">
        <f t="shared" si="1"/>
        <v>379.17</v>
      </c>
    </row>
    <row r="43" spans="1:15" x14ac:dyDescent="0.2">
      <c r="A43" s="31" t="s">
        <v>114</v>
      </c>
      <c r="C43" s="49" t="s">
        <v>113</v>
      </c>
      <c r="D43" s="50"/>
      <c r="E43" s="32" t="s">
        <v>117</v>
      </c>
      <c r="F43" s="15" t="s">
        <v>65</v>
      </c>
      <c r="G43" s="2" t="s">
        <v>112</v>
      </c>
      <c r="I43" s="2" t="s">
        <v>117</v>
      </c>
      <c r="J43" s="23">
        <v>65000</v>
      </c>
      <c r="K43" s="23">
        <f t="shared" si="1"/>
        <v>448.11</v>
      </c>
    </row>
    <row r="44" spans="1:15" x14ac:dyDescent="0.2">
      <c r="C44" s="13" t="s">
        <v>118</v>
      </c>
      <c r="D44" s="14"/>
      <c r="E44" s="11">
        <f>IF(YMat=I36,K36,IF(YMat=I37,K37,IF(YMat=I38,K38,IF(YMat=I39,K39,IF(YMat=I40,K40,IF(YMat=I41,K41,IF(YMat=I42,K42,IF(YMat=I43,K43,IF(YMat=I44,K44,IF(YMat=I45,K45,IF(YMat=I46,K46,IF(YMat=I47,K47,IF(YMat=I48,K48,IF(YMat=I49,K49,IF(YMat=I50,K50,IF(YMat=I51,K51,IF(YMat=I52,K52,IF(YMat=I53,K53,"Error"))))))))))))))))))</f>
        <v>448.11</v>
      </c>
      <c r="F44" s="15" t="s">
        <v>53</v>
      </c>
      <c r="G44" s="2"/>
      <c r="I44" s="2" t="s">
        <v>100</v>
      </c>
      <c r="J44" s="23">
        <v>40000</v>
      </c>
      <c r="K44" s="23">
        <f t="shared" si="1"/>
        <v>275.76</v>
      </c>
    </row>
    <row r="45" spans="1:15" x14ac:dyDescent="0.2">
      <c r="C45" s="13" t="s">
        <v>115</v>
      </c>
      <c r="D45" s="14"/>
      <c r="E45" s="12">
        <f>E42/E44</f>
        <v>1.2699605735346147</v>
      </c>
      <c r="F45" s="15" t="s">
        <v>10</v>
      </c>
      <c r="G45" s="2"/>
      <c r="I45" s="2" t="s">
        <v>101</v>
      </c>
      <c r="J45" s="23">
        <v>45000</v>
      </c>
      <c r="K45" s="23">
        <f t="shared" si="1"/>
        <v>310.23</v>
      </c>
    </row>
    <row r="46" spans="1:15" x14ac:dyDescent="0.2">
      <c r="C46" s="13" t="s">
        <v>116</v>
      </c>
      <c r="D46" s="14"/>
      <c r="E46" s="33" t="str">
        <f>IF(E45&lt;1,"PASS",IF(E45&gt;=1,"Stress to HIGH","ERROR"))</f>
        <v>Stress to HIGH</v>
      </c>
      <c r="F46" s="15"/>
      <c r="G46" s="2"/>
      <c r="I46" s="2" t="s">
        <v>102</v>
      </c>
      <c r="J46" s="23">
        <v>50000</v>
      </c>
      <c r="K46" s="23">
        <f t="shared" si="1"/>
        <v>344.7</v>
      </c>
    </row>
    <row r="47" spans="1:15" x14ac:dyDescent="0.2">
      <c r="C47" s="38" t="s">
        <v>86</v>
      </c>
      <c r="D47" s="39"/>
      <c r="E47" s="39"/>
      <c r="F47" s="39"/>
      <c r="G47" s="40"/>
      <c r="I47" s="2" t="s">
        <v>103</v>
      </c>
      <c r="J47" s="23">
        <v>55000</v>
      </c>
      <c r="K47" s="23">
        <f t="shared" si="1"/>
        <v>379.17</v>
      </c>
    </row>
    <row r="48" spans="1:15" x14ac:dyDescent="0.2">
      <c r="C48" s="49" t="s">
        <v>90</v>
      </c>
      <c r="D48" s="70"/>
      <c r="E48" s="70"/>
      <c r="F48" s="70"/>
      <c r="G48" s="50"/>
      <c r="I48" s="2" t="s">
        <v>104</v>
      </c>
      <c r="J48" s="23">
        <v>50000</v>
      </c>
      <c r="K48" s="23">
        <f t="shared" si="1"/>
        <v>344.7</v>
      </c>
    </row>
    <row r="49" spans="3:11" x14ac:dyDescent="0.2">
      <c r="C49" s="49" t="s">
        <v>87</v>
      </c>
      <c r="D49" s="70"/>
      <c r="E49" s="70"/>
      <c r="F49" s="70"/>
      <c r="G49" s="50"/>
      <c r="I49" s="2" t="s">
        <v>105</v>
      </c>
      <c r="J49" s="23">
        <v>50000</v>
      </c>
      <c r="K49" s="23">
        <f t="shared" si="1"/>
        <v>344.7</v>
      </c>
    </row>
    <row r="50" spans="3:11" x14ac:dyDescent="0.2">
      <c r="C50" s="67"/>
      <c r="D50" s="68"/>
      <c r="E50" s="68"/>
      <c r="F50" s="68"/>
      <c r="G50" s="69"/>
      <c r="I50" s="2" t="s">
        <v>106</v>
      </c>
      <c r="J50" s="23">
        <v>70000</v>
      </c>
      <c r="K50" s="23">
        <f t="shared" si="1"/>
        <v>482.58</v>
      </c>
    </row>
    <row r="51" spans="3:11" x14ac:dyDescent="0.2">
      <c r="C51" s="67"/>
      <c r="D51" s="68"/>
      <c r="E51" s="68"/>
      <c r="F51" s="68"/>
      <c r="G51" s="69"/>
      <c r="I51" s="2" t="s">
        <v>107</v>
      </c>
      <c r="J51" s="23">
        <v>55000</v>
      </c>
      <c r="K51" s="23">
        <f t="shared" si="1"/>
        <v>379.17</v>
      </c>
    </row>
    <row r="52" spans="3:11" x14ac:dyDescent="0.2">
      <c r="I52" s="2" t="s">
        <v>109</v>
      </c>
      <c r="J52" s="23">
        <v>55000</v>
      </c>
      <c r="K52" s="23">
        <f t="shared" si="1"/>
        <v>379.17</v>
      </c>
    </row>
    <row r="53" spans="3:11" x14ac:dyDescent="0.2">
      <c r="I53" s="2" t="s">
        <v>110</v>
      </c>
      <c r="J53" s="23">
        <v>75000</v>
      </c>
      <c r="K53" s="23">
        <f t="shared" si="1"/>
        <v>517.04999999999995</v>
      </c>
    </row>
  </sheetData>
  <mergeCells count="27">
    <mergeCell ref="I34:I35"/>
    <mergeCell ref="J34:K34"/>
    <mergeCell ref="C43:D43"/>
    <mergeCell ref="C51:G51"/>
    <mergeCell ref="C50:G50"/>
    <mergeCell ref="C48:G48"/>
    <mergeCell ref="C37:D37"/>
    <mergeCell ref="C33:D34"/>
    <mergeCell ref="C47:G47"/>
    <mergeCell ref="C49:G49"/>
    <mergeCell ref="C35:D35"/>
    <mergeCell ref="C36:G36"/>
    <mergeCell ref="J8:K8"/>
    <mergeCell ref="I8:I9"/>
    <mergeCell ref="M8:S8"/>
    <mergeCell ref="C23:D26"/>
    <mergeCell ref="E24:F26"/>
    <mergeCell ref="C19:G19"/>
    <mergeCell ref="C21:D21"/>
    <mergeCell ref="C20:D20"/>
    <mergeCell ref="C32:G32"/>
    <mergeCell ref="C6:D7"/>
    <mergeCell ref="E6:F6"/>
    <mergeCell ref="G6:G7"/>
    <mergeCell ref="C8:G8"/>
    <mergeCell ref="C10:D10"/>
    <mergeCell ref="C15:D15"/>
  </mergeCells>
  <dataValidations count="3">
    <dataValidation type="list" allowBlank="1" showInputMessage="1" showErrorMessage="1" sqref="E15" xr:uid="{BEB45FE7-3A76-9A4B-91AA-F76011D7423C}">
      <formula1>$M$10:$M$13</formula1>
    </dataValidation>
    <dataValidation type="list" allowBlank="1" showInputMessage="1" showErrorMessage="1" sqref="E9" xr:uid="{ECF76D3E-FCC9-4A4E-A865-7C73621575D4}">
      <formula1>$I$10:$I$27</formula1>
    </dataValidation>
    <dataValidation type="list" allowBlank="1" showInputMessage="1" showErrorMessage="1" sqref="E43" xr:uid="{8F2AE95C-A7F6-3945-BD17-DE80E2998D86}">
      <formula1>$I$36:$I$53</formula1>
    </dataValidation>
  </dataValidation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Helical Compression Springs</vt:lpstr>
      <vt:lpstr>Active_coils</vt:lpstr>
      <vt:lpstr>Diam_inner</vt:lpstr>
      <vt:lpstr>Diam_nominal</vt:lpstr>
      <vt:lpstr>Diam_outer</vt:lpstr>
      <vt:lpstr>Diam_wire</vt:lpstr>
      <vt:lpstr>Dnom_1</vt:lpstr>
      <vt:lpstr>Dnom_2</vt:lpstr>
      <vt:lpstr>Force_applied</vt:lpstr>
      <vt:lpstr>Height_free</vt:lpstr>
      <vt:lpstr>mat_ShearMod</vt:lpstr>
      <vt:lpstr>meas_pitch</vt:lpstr>
      <vt:lpstr>n_total</vt:lpstr>
      <vt:lpstr>Smat</vt:lpstr>
      <vt:lpstr>Spring_Index</vt:lpstr>
      <vt:lpstr>Spring_stiffness</vt:lpstr>
      <vt:lpstr>Wahl_factor</vt:lpstr>
      <vt:lpstr>YMat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Microsoft Office User</cp:lastModifiedBy>
  <dcterms:created xsi:type="dcterms:W3CDTF">2015-08-14T19:15:03Z</dcterms:created>
  <dcterms:modified xsi:type="dcterms:W3CDTF">2021-03-27T19:17:47Z</dcterms:modified>
</cp:coreProperties>
</file>